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<sst xmlns="http://schemas.openxmlformats.org/spreadsheetml/2006/main" count="72" uniqueCount="47">
  <si>
    <t>Name</t>
  </si>
  <si>
    <t>West Chester, PA</t>
  </si>
  <si>
    <t>thekohser</t>
  </si>
  <si>
    <t>Philadelphia, PA</t>
  </si>
  <si>
    <t>CowpokeMike</t>
  </si>
  <si>
    <t>beavis610</t>
  </si>
  <si>
    <t>Blue Bell, PA</t>
  </si>
  <si>
    <t>Gregory Kohs</t>
  </si>
  <si>
    <t>Mike Gargano</t>
  </si>
  <si>
    <t>Sean Scalley</t>
  </si>
  <si>
    <t>mortylick</t>
  </si>
  <si>
    <t>Michael Wagner</t>
  </si>
  <si>
    <t>shep1005</t>
  </si>
  <si>
    <t>Paul Morrow</t>
  </si>
  <si>
    <t>Location</t>
  </si>
  <si>
    <t>Screen name</t>
  </si>
  <si>
    <t>Jackpot deposit</t>
  </si>
  <si>
    <t>Total points</t>
  </si>
  <si>
    <t>TESTING ZONE</t>
  </si>
  <si>
    <t>Entrants</t>
  </si>
  <si>
    <t>Your Finish</t>
  </si>
  <si>
    <t>Points Awarded</t>
  </si>
  <si>
    <t>Buy-in</t>
  </si>
  <si>
    <t>DNP</t>
  </si>
  <si>
    <t>Bill Myers</t>
  </si>
  <si>
    <t>Lower Gwynedd, PA</t>
  </si>
  <si>
    <t>Bungalow PSU</t>
  </si>
  <si>
    <t>Bobby Zetusky</t>
  </si>
  <si>
    <t>Ridley Township, PA</t>
  </si>
  <si>
    <t>zed500</t>
  </si>
  <si>
    <t>July 06 - $12 online - 94736672</t>
  </si>
  <si>
    <t>Online</t>
  </si>
  <si>
    <t>Casino</t>
  </si>
  <si>
    <t>In-Home</t>
  </si>
  <si>
    <t>July 11 - $40 home - Kohs</t>
  </si>
  <si>
    <t>July 15 - $4 online - 95888352</t>
  </si>
  <si>
    <t>July 26 - $40 home - Morrow</t>
  </si>
  <si>
    <t>August 16 - $40 home - Myers</t>
  </si>
  <si>
    <t>July 23 - $2 online - 97563450</t>
  </si>
  <si>
    <t>July 31 - casino - Showboat</t>
  </si>
  <si>
    <t>August 5 - $12 online</t>
  </si>
  <si>
    <t>August 19 - $4 online</t>
  </si>
  <si>
    <t>September 4 - casino - Showboat</t>
  </si>
  <si>
    <t>September 12 - $40 home - TBD</t>
  </si>
  <si>
    <t>Average less outliers, plus bonus</t>
  </si>
  <si>
    <t>Average</t>
  </si>
  <si>
    <t>August 27 - $11 online - 103653485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</si>
</sst>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171" fontId="0" fillId="0" borderId="0" xfId="17" applyNumberFormat="1" applyAlignment="1">
      <alignment horizontal="right"/>
    </xf>
    <xf numFmtId="2" fontId="5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2" zoomScaleNormal="92" workbookViewId="0" topLeftCell="A1">
      <selection activeCell="H18" sqref="H18"/>
    </sheetView>
  </sheetViews>
  <sheetFormatPr defaultColWidth="9.140625" defaultRowHeight="12.75"/>
  <cols>
    <col min="1" max="1" width="32.421875" style="0" customWidth="1"/>
    <col min="2" max="5" width="14.57421875" style="0" customWidth="1"/>
    <col min="6" max="6" width="14.57421875" style="1" customWidth="1"/>
    <col min="7" max="7" width="14.57421875" style="0" customWidth="1"/>
    <col min="8" max="8" width="14.57421875" style="1" customWidth="1"/>
    <col min="9" max="9" width="6.7109375" style="0" bestFit="1" customWidth="1"/>
    <col min="10" max="11" width="13.00390625" style="1" customWidth="1"/>
    <col min="12" max="12" width="8.28125" style="0" bestFit="1" customWidth="1"/>
    <col min="13" max="16384" width="13.28125" style="0" customWidth="1"/>
  </cols>
  <sheetData>
    <row r="1" spans="1:8" s="2" customFormat="1" ht="12.75">
      <c r="A1" s="2" t="s">
        <v>0</v>
      </c>
      <c r="B1" s="2" t="s">
        <v>27</v>
      </c>
      <c r="C1" s="2" t="s">
        <v>13</v>
      </c>
      <c r="D1" s="2" t="s">
        <v>7</v>
      </c>
      <c r="E1" s="2" t="s">
        <v>24</v>
      </c>
      <c r="F1" s="2" t="s">
        <v>11</v>
      </c>
      <c r="G1" s="2" t="s">
        <v>9</v>
      </c>
      <c r="H1" s="2" t="s">
        <v>8</v>
      </c>
    </row>
    <row r="2" spans="1:8" s="3" customFormat="1" ht="12.75">
      <c r="A2" s="3" t="s">
        <v>14</v>
      </c>
      <c r="B2" s="4" t="s">
        <v>28</v>
      </c>
      <c r="C2" s="4" t="s">
        <v>6</v>
      </c>
      <c r="D2" s="4" t="s">
        <v>1</v>
      </c>
      <c r="E2" s="4" t="s">
        <v>25</v>
      </c>
      <c r="F2" s="4" t="s">
        <v>6</v>
      </c>
      <c r="G2" s="4" t="s">
        <v>6</v>
      </c>
      <c r="H2" s="4" t="s">
        <v>3</v>
      </c>
    </row>
    <row r="3" spans="1:8" s="3" customFormat="1" ht="12.75">
      <c r="A3" s="3" t="s">
        <v>15</v>
      </c>
      <c r="B3" s="3" t="s">
        <v>29</v>
      </c>
      <c r="C3" s="3" t="s">
        <v>12</v>
      </c>
      <c r="D3" s="3" t="s">
        <v>2</v>
      </c>
      <c r="E3" s="3" t="s">
        <v>26</v>
      </c>
      <c r="F3" s="3" t="s">
        <v>10</v>
      </c>
      <c r="G3" s="3" t="s">
        <v>5</v>
      </c>
      <c r="H3" s="3" t="s">
        <v>4</v>
      </c>
    </row>
    <row r="4" spans="1:11" ht="12.75">
      <c r="A4" s="3" t="s">
        <v>16</v>
      </c>
      <c r="B4" s="13">
        <v>100</v>
      </c>
      <c r="C4" s="13">
        <v>100</v>
      </c>
      <c r="D4" s="13">
        <v>100</v>
      </c>
      <c r="E4" s="13">
        <v>100</v>
      </c>
      <c r="F4" s="13">
        <v>100</v>
      </c>
      <c r="G4" s="13">
        <v>100</v>
      </c>
      <c r="H4" s="13">
        <v>100</v>
      </c>
      <c r="I4" s="11">
        <f>SUM(B4:H4)</f>
        <v>700</v>
      </c>
      <c r="J4"/>
      <c r="K4"/>
    </row>
    <row r="5" spans="5:11" ht="12.75">
      <c r="E5" s="1"/>
      <c r="F5"/>
      <c r="G5" s="1"/>
      <c r="J5"/>
      <c r="K5"/>
    </row>
    <row r="6" spans="1:11" ht="12.75">
      <c r="A6" s="3" t="s">
        <v>30</v>
      </c>
      <c r="B6" s="10" t="s">
        <v>23</v>
      </c>
      <c r="C6" s="5">
        <f>10*(SQRT(180)/SQRT(9))*(1+LOG10(11+0.25))</f>
        <v>91.73032944825017</v>
      </c>
      <c r="D6" s="5">
        <f>10*(SQRT(180)/SQRT(101))*(1+LOG10(11+0.25))</f>
        <v>27.38252678136704</v>
      </c>
      <c r="E6" s="10" t="s">
        <v>23</v>
      </c>
      <c r="F6" s="5">
        <f>10*(SQRT(180)/SQRT(89))*(1+LOG10(11+0.25))</f>
        <v>29.170186424229048</v>
      </c>
      <c r="G6" s="10" t="s">
        <v>23</v>
      </c>
      <c r="H6" s="10" t="s">
        <v>23</v>
      </c>
      <c r="J6"/>
      <c r="K6"/>
    </row>
    <row r="7" spans="1:11" ht="12.75">
      <c r="A7" s="3" t="s">
        <v>34</v>
      </c>
      <c r="B7" s="5">
        <f>2*10*(SQRT(7)/SQRT(6))*(1+LOG10(40+0.25))</f>
        <v>56.26937426274947</v>
      </c>
      <c r="C7" s="5">
        <f>2*10*(SQRT(7)/SQRT(1))*(1+LOG10(40+0.25))</f>
        <v>137.83125508943257</v>
      </c>
      <c r="D7" s="5">
        <f>2*10*(SQRT(7)/SQRT(5))*(1+LOG10(40+0.25))</f>
        <v>61.64001116081702</v>
      </c>
      <c r="E7" s="5">
        <f>2*10*(SQRT(7)/SQRT(3))*(1+LOG10(40+0.25))</f>
        <v>79.57691222862788</v>
      </c>
      <c r="F7" s="10" t="s">
        <v>23</v>
      </c>
      <c r="G7" s="5">
        <f>2*10*(SQRT(7)/SQRT(7))*(1+LOG10(40+0.25))</f>
        <v>52.09531769407775</v>
      </c>
      <c r="H7" s="5">
        <f>2*10*(SQRT(7)/SQRT(2))*(1+LOG10(40+0.25))</f>
        <v>97.46141513319061</v>
      </c>
      <c r="J7"/>
      <c r="K7"/>
    </row>
    <row r="8" spans="1:11" ht="12.75">
      <c r="A8" s="3" t="s">
        <v>35</v>
      </c>
      <c r="B8" s="5">
        <f>10*(SQRT(180)/SQRT(29))*(1+LOG10(4+0.25))</f>
        <v>40.569102025363904</v>
      </c>
      <c r="C8" s="10" t="s">
        <v>23</v>
      </c>
      <c r="D8" s="5">
        <f>10*(SQRT(180)/SQRT(171))*(1+LOG10(4+0.25))</f>
        <v>16.70691791006726</v>
      </c>
      <c r="E8" s="5">
        <f>10*(SQRT(180)/SQRT(41))*(1+LOG10(4+0.25))</f>
        <v>34.11948486128839</v>
      </c>
      <c r="F8" s="5">
        <f>10*(SQRT(180)/SQRT(62))*(1+LOG10(4+0.25))</f>
        <v>27.745882907369708</v>
      </c>
      <c r="G8" s="10" t="s">
        <v>23</v>
      </c>
      <c r="H8" s="5">
        <f>10*(SQRT(180)/SQRT(35))*(1+LOG10(4+0.25))</f>
        <v>36.92838982803152</v>
      </c>
      <c r="J8"/>
      <c r="K8"/>
    </row>
    <row r="9" spans="1:11" ht="12.75">
      <c r="A9" s="3" t="s">
        <v>38</v>
      </c>
      <c r="B9" s="5">
        <f>10*(SQRT(180)/SQRT(40))*(1+LOG10(2+0.25))</f>
        <v>28.684122838753378</v>
      </c>
      <c r="C9" s="5">
        <f>10*(SQRT(180)/SQRT(11))*(1+LOG10(2+0.25))</f>
        <v>54.69847606415285</v>
      </c>
      <c r="D9" s="5">
        <f>10*(SQRT(180)/SQRT(21))*(1+LOG10(2+0.25))</f>
        <v>39.587850541938295</v>
      </c>
      <c r="E9" s="5">
        <f>10*(SQRT(180)/SQRT(8))*(1+LOG10(2+0.25))</f>
        <v>64.1396485424068</v>
      </c>
      <c r="F9" s="5">
        <f>10*(SQRT(180)/SQRT(6))*(1+LOG10(2+0.25))</f>
        <v>74.06208670337311</v>
      </c>
      <c r="G9" s="5">
        <f>10*(SQRT(180)/SQRT(37))*(1+LOG10(2+0.25))</f>
        <v>29.824330771652964</v>
      </c>
      <c r="H9" s="10" t="s">
        <v>23</v>
      </c>
      <c r="J9"/>
      <c r="K9"/>
    </row>
    <row r="10" spans="1:11" ht="12.75">
      <c r="A10" s="3" t="s">
        <v>36</v>
      </c>
      <c r="B10" s="10" t="s">
        <v>23</v>
      </c>
      <c r="C10" s="5">
        <f>2*10*(SQRT(10)/SQRT(5))*(1+LOG10(40+0.25))</f>
        <v>73.67390481909983</v>
      </c>
      <c r="D10" s="5">
        <f>2*10*(SQRT(10)/SQRT(6))*(1+LOG10(40+0.25))</f>
        <v>67.25476594818257</v>
      </c>
      <c r="E10" s="5">
        <f>2*10*(SQRT(10)/SQRT(2))*(1+LOG10(40+0.25))</f>
        <v>116.48867167340545</v>
      </c>
      <c r="F10" s="5">
        <f>2*10*(SQRT(10)/SQRT(4))*(1+LOG10(40+0.25))</f>
        <v>82.36992967167829</v>
      </c>
      <c r="G10" s="5">
        <f>2*10*(SQRT(10)/SQRT(3))*(1+LOG10(40+0.25))</f>
        <v>95.112602138148</v>
      </c>
      <c r="H10" s="5">
        <f>2*10*(SQRT(10)/SQRT(9))*(1+LOG10(40+0.25))</f>
        <v>54.91328644778552</v>
      </c>
      <c r="J10"/>
      <c r="K10"/>
    </row>
    <row r="11" spans="1:11" ht="12.75">
      <c r="A11" s="3" t="s">
        <v>39</v>
      </c>
      <c r="B11" s="5">
        <f>1.5*10*(SQRT(78)/SQRT(6))*(1+LOG10(53+0.25))</f>
        <v>147.44827732152746</v>
      </c>
      <c r="C11" s="10" t="s">
        <v>23</v>
      </c>
      <c r="D11" s="5">
        <f>1.5*10*(SQRT(78)/SQRT(16))*(1+LOG10(53+0.25))</f>
        <v>90.29326072253275</v>
      </c>
      <c r="E11" s="10" t="s">
        <v>23</v>
      </c>
      <c r="F11" s="10" t="s">
        <v>23</v>
      </c>
      <c r="G11" s="10" t="s">
        <v>23</v>
      </c>
      <c r="H11" s="10" t="s">
        <v>23</v>
      </c>
      <c r="J11"/>
      <c r="K11"/>
    </row>
    <row r="12" spans="1:11" ht="12.75">
      <c r="A12" s="3" t="s">
        <v>40</v>
      </c>
      <c r="B12" s="5">
        <f>10*(SQRT(180)/SQRT(16))*(1+LOG10(11+0.25))</f>
        <v>68.79774708618763</v>
      </c>
      <c r="C12" s="5">
        <f>10*(SQRT(180)/SQRT(108))*(1+LOG10(11+0.25))</f>
        <v>26.480265199900142</v>
      </c>
      <c r="D12" s="5">
        <f>10*(SQRT(180)/SQRT(47))*(1+LOG10(11+0.25))</f>
        <v>40.14073117520424</v>
      </c>
      <c r="E12" s="5">
        <f>10*(SQRT(180)/SQRT(173))*(1+LOG10(11+0.25))</f>
        <v>20.922383409880943</v>
      </c>
      <c r="F12" s="5">
        <f>10*(SQRT(180)/SQRT(95))*(1+LOG10(11+0.25))</f>
        <v>28.2339996730632</v>
      </c>
      <c r="G12" s="5">
        <f>10*(SQRT(180)/SQRT(118))*(1+LOG10(11+0.25))</f>
        <v>25.333383894453068</v>
      </c>
      <c r="H12" s="5">
        <f>10*(SQRT(180)/SQRT(36))*(1+LOG10(11+0.25))</f>
        <v>45.86516472412509</v>
      </c>
      <c r="J12"/>
      <c r="K12"/>
    </row>
    <row r="13" spans="1:11" ht="12.75">
      <c r="A13" s="3" t="s">
        <v>37</v>
      </c>
      <c r="B13" s="5">
        <f>2*10*(SQRT(22)/SQRT(3))*(1+LOG10(40+0.25))</f>
        <v>141.074787216133</v>
      </c>
      <c r="C13" s="5">
        <f>2*10*(SQRT(22)/SQRT(18))*(1+LOG10(40+0.25))</f>
        <v>57.593540708539535</v>
      </c>
      <c r="D13" s="10" t="s">
        <v>23</v>
      </c>
      <c r="E13" s="5">
        <f>2*10*(SQRT(22)/SQRT(9))*(1+LOG10(40+0.25))</f>
        <v>81.44956637510356</v>
      </c>
      <c r="F13" s="5">
        <f>2*10*(SQRT(22)/SQRT(2))*(1+LOG10(40+0.25))</f>
        <v>172.78062212561855</v>
      </c>
      <c r="G13" s="5">
        <f>2*10*(SQRT(22)/SQRT(16))*(1+LOG10(40+0.25))</f>
        <v>61.08717478132767</v>
      </c>
      <c r="H13" s="5">
        <f>2*10*(SQRT(22)/SQRT(12))*(1+LOG10(40+0.25))</f>
        <v>70.5373936080665</v>
      </c>
      <c r="J13"/>
      <c r="K13"/>
    </row>
    <row r="14" spans="1:11" ht="12.75">
      <c r="A14" s="3" t="s">
        <v>41</v>
      </c>
      <c r="B14" s="5">
        <f>10*(SQRT(180)/SQRT(60))*(1+LOG10(4+0.25))</f>
        <v>28.204523613298626</v>
      </c>
      <c r="C14" s="5">
        <f>10*(SQRT(180)/SQRT(67))*(1+LOG10(4+0.25))</f>
        <v>26.690517387934417</v>
      </c>
      <c r="D14" s="5">
        <f>10*(SQRT(180)/SQRT(82))*(1+LOG10(4+0.25))</f>
        <v>24.126119116008766</v>
      </c>
      <c r="E14" s="5">
        <f>10*(SQRT(180)/SQRT(73))*(1+LOG10(4+0.25))</f>
        <v>25.57013163808246</v>
      </c>
      <c r="F14" s="5">
        <f>10*(SQRT(180)/SQRT(112))*(1+LOG10(4+0.25))</f>
        <v>20.643597488772564</v>
      </c>
      <c r="G14" s="5">
        <f>10*(SQRT(180)/SQRT(59))*(1+LOG10(4+0.25))</f>
        <v>28.442540690581353</v>
      </c>
      <c r="H14" s="10" t="s">
        <v>23</v>
      </c>
      <c r="J14"/>
      <c r="K14"/>
    </row>
    <row r="15" spans="1:11" ht="12.75">
      <c r="A15" s="3" t="s">
        <v>46</v>
      </c>
      <c r="B15" s="5">
        <f>10*(SQRT(2763)/SQRT(658))*(1+LOG10(10+0.25))</f>
        <v>41.20310341262527</v>
      </c>
      <c r="C15" s="5">
        <f>10*(SQRT(2763)/SQRT(1531))*(1+LOG10(10+0.25))</f>
        <v>27.011909109879053</v>
      </c>
      <c r="D15" s="5">
        <f>10*(SQRT(2763)/SQRT(258))*(1+LOG10(10+0.25))</f>
        <v>65.80108004600991</v>
      </c>
      <c r="E15" s="5">
        <f>10*(SQRT(2763)/SQRT(934))*(1+LOG10(10+0.25))</f>
        <v>34.5835392836916</v>
      </c>
      <c r="F15" s="10" t="s">
        <v>23</v>
      </c>
      <c r="G15" s="5">
        <f>10*(SQRT(2763)/SQRT(893))*(1+LOG10(10+0.25))</f>
        <v>35.36854105560692</v>
      </c>
      <c r="H15" s="10" t="s">
        <v>23</v>
      </c>
      <c r="J15"/>
      <c r="K15"/>
    </row>
    <row r="16" spans="1:11" ht="12.75">
      <c r="A16" s="3" t="s">
        <v>42</v>
      </c>
      <c r="B16" s="5">
        <f>1.5*10*(SQRT(70)/SQRT(35))*(1+LOG10(53+0.25))</f>
        <v>57.833972562162224</v>
      </c>
      <c r="C16" s="5">
        <f>1.5*10*(SQRT(70)/SQRT(62))*(1+LOG10(53+0.25))</f>
        <v>43.45314372628637</v>
      </c>
      <c r="D16" s="10" t="s">
        <v>23</v>
      </c>
      <c r="E16" s="10" t="s">
        <v>23</v>
      </c>
      <c r="F16" s="10" t="s">
        <v>23</v>
      </c>
      <c r="G16" s="10" t="s">
        <v>23</v>
      </c>
      <c r="H16" s="10" t="s">
        <v>23</v>
      </c>
      <c r="J16"/>
      <c r="K16"/>
    </row>
    <row r="17" spans="1:11" ht="12.75">
      <c r="A17" s="3" t="s">
        <v>43</v>
      </c>
      <c r="B17" s="5">
        <f>2*10*(SQRT(9)/SQRT(4))*(1+LOG10(40+0.25))</f>
        <v>78.14297654111662</v>
      </c>
      <c r="C17" s="5">
        <f>2*10*(SQRT(9)/SQRT(7))*(1+LOG10(40+0.25))</f>
        <v>59.0705378954711</v>
      </c>
      <c r="D17" s="5">
        <f>2*10*(SQRT(9)/SQRT(9))*(1+LOG10(40+0.25))</f>
        <v>52.09531769407775</v>
      </c>
      <c r="E17" s="10" t="s">
        <v>23</v>
      </c>
      <c r="F17" s="5">
        <f>2*10*(SQRT(9)/SQRT(5))*(1+LOG10(40+0.25))</f>
        <v>69.89320300404327</v>
      </c>
      <c r="G17" s="5">
        <f>2*10*(SQRT(9)/SQRT(1))*(1+LOG10(40+0.25))</f>
        <v>156.28595308223325</v>
      </c>
      <c r="H17" s="5">
        <f>2*10*(SQRT(9)/SQRT(2))*(1+LOG10(40+0.25))</f>
        <v>110.51085722864973</v>
      </c>
      <c r="J17"/>
      <c r="K17"/>
    </row>
    <row r="18" spans="2:11" ht="12.75">
      <c r="B18" s="15"/>
      <c r="C18" s="15"/>
      <c r="D18" s="15"/>
      <c r="E18" s="16"/>
      <c r="F18" s="15"/>
      <c r="G18" s="16"/>
      <c r="H18" s="16"/>
      <c r="J18"/>
      <c r="K18"/>
    </row>
    <row r="19" spans="1:11" ht="12.75">
      <c r="A19" s="3" t="s">
        <v>17</v>
      </c>
      <c r="B19" s="14">
        <f aca="true" t="shared" si="0" ref="B19:H19">SUMIF(B6:B17,"&gt;0.00001",B6:B17)</f>
        <v>688.2279868799176</v>
      </c>
      <c r="C19" s="14">
        <f t="shared" si="0"/>
        <v>598.233879448946</v>
      </c>
      <c r="D19" s="14">
        <f t="shared" si="0"/>
        <v>485.0285810962056</v>
      </c>
      <c r="E19" s="14">
        <f t="shared" si="0"/>
        <v>456.8503380124871</v>
      </c>
      <c r="F19" s="14">
        <f t="shared" si="0"/>
        <v>504.8995079981478</v>
      </c>
      <c r="G19" s="14">
        <f t="shared" si="0"/>
        <v>483.54984410808095</v>
      </c>
      <c r="H19" s="14">
        <f t="shared" si="0"/>
        <v>416.216506969849</v>
      </c>
      <c r="J19"/>
      <c r="K19"/>
    </row>
    <row r="20" spans="1:11" ht="12.75">
      <c r="A20" s="3" t="s">
        <v>45</v>
      </c>
      <c r="B20" s="14">
        <f aca="true" t="shared" si="1" ref="B20:H20">AVERAGE(B6:B17)</f>
        <v>68.82279868799176</v>
      </c>
      <c r="C20" s="14">
        <f t="shared" si="1"/>
        <v>59.823387944894606</v>
      </c>
      <c r="D20" s="14">
        <f t="shared" si="1"/>
        <v>48.50285810962056</v>
      </c>
      <c r="E20" s="14">
        <f t="shared" si="1"/>
        <v>57.10629225156089</v>
      </c>
      <c r="F20" s="14">
        <f t="shared" si="1"/>
        <v>63.11243849976847</v>
      </c>
      <c r="G20" s="14">
        <f t="shared" si="1"/>
        <v>60.44373051351012</v>
      </c>
      <c r="H20" s="14">
        <f t="shared" si="1"/>
        <v>69.36941782830816</v>
      </c>
      <c r="J20"/>
      <c r="K20"/>
    </row>
    <row r="21" spans="1:8" s="17" customFormat="1" ht="15.75">
      <c r="A21" s="3" t="s">
        <v>44</v>
      </c>
      <c r="B21" s="18">
        <f aca="true" t="shared" si="2" ref="B21:H21">((SUMIF(B6:B17,"&gt;0.00001",B6:B17)-(MAX(B6:B17)+MIN(B6:B17)))/((COUNTIF(B6:B17,"&gt;0.00001"))-2))+IF(COUNTIF(B6:B17,"&gt;0.00001")&gt;5,(10*(COUNTIF(B6:B17,"&gt;0.00001")-5)),0)</f>
        <v>114.07189824313645</v>
      </c>
      <c r="C21" s="18">
        <f t="shared" si="2"/>
        <v>104.24029489495166</v>
      </c>
      <c r="D21" s="18">
        <f t="shared" si="2"/>
        <v>97.25355030795069</v>
      </c>
      <c r="E21" s="18">
        <f t="shared" si="2"/>
        <v>83.23988048820013</v>
      </c>
      <c r="F21" s="18">
        <f t="shared" si="2"/>
        <v>81.91254806395943</v>
      </c>
      <c r="G21" s="18">
        <f t="shared" si="2"/>
        <v>80.32175118856577</v>
      </c>
      <c r="H21" s="18">
        <f t="shared" si="2"/>
        <v>77.19431497829194</v>
      </c>
    </row>
    <row r="24" spans="1:11" ht="12.75">
      <c r="A24" s="6" t="s">
        <v>18</v>
      </c>
      <c r="B24" s="6" t="s">
        <v>19</v>
      </c>
      <c r="C24" s="6" t="s">
        <v>22</v>
      </c>
      <c r="D24" s="6" t="s">
        <v>20</v>
      </c>
      <c r="E24" s="6" t="s">
        <v>21</v>
      </c>
      <c r="F24"/>
      <c r="H24"/>
      <c r="K24"/>
    </row>
    <row r="25" spans="1:11" ht="12.75">
      <c r="A25" s="6" t="s">
        <v>31</v>
      </c>
      <c r="B25" s="7">
        <v>180</v>
      </c>
      <c r="C25" s="8">
        <v>11</v>
      </c>
      <c r="D25" s="7">
        <v>15</v>
      </c>
      <c r="E25" s="9">
        <f>10*(SQRT(B25)/SQRT(D25))*(1+LOG10(C25+0.25))</f>
        <v>71.05400765903855</v>
      </c>
      <c r="F25"/>
      <c r="H25"/>
      <c r="K25"/>
    </row>
    <row r="26" spans="1:5" ht="12.75">
      <c r="A26" s="12" t="s">
        <v>32</v>
      </c>
      <c r="B26" s="7">
        <v>75</v>
      </c>
      <c r="C26" s="8">
        <v>53</v>
      </c>
      <c r="D26" s="7">
        <v>10</v>
      </c>
      <c r="E26" s="9">
        <f>10*1.5*(SQRT(B26)/SQRT(D26))*(1+LOG10(C26+0.25))</f>
        <v>111.99500628913549</v>
      </c>
    </row>
    <row r="27" spans="1:5" ht="12.75">
      <c r="A27" s="12" t="s">
        <v>33</v>
      </c>
      <c r="B27" s="7">
        <v>8</v>
      </c>
      <c r="C27" s="8">
        <v>40</v>
      </c>
      <c r="D27" s="7">
        <v>1</v>
      </c>
      <c r="E27" s="9">
        <f>10*2*(SQRT(B27)/SQRT(D27))*(1+LOG10(C27+0.25))</f>
        <v>147.34780963819966</v>
      </c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Comcast User</cp:lastModifiedBy>
  <cp:lastPrinted>2008-01-09T02:19:02Z</cp:lastPrinted>
  <dcterms:created xsi:type="dcterms:W3CDTF">2007-10-17T18:21:58Z</dcterms:created>
  <dcterms:modified xsi:type="dcterms:W3CDTF">2008-09-14T05:12:03Z</dcterms:modified>
  <cp:category/>
  <cp:version/>
  <cp:contentType/>
  <cp:contentStatus/>
</cp:coreProperties>
</file>